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11"/>
  <workbookPr/>
  <mc:AlternateContent xmlns:mc="http://schemas.openxmlformats.org/markup-compatibility/2006">
    <mc:Choice Requires="x15">
      <x15ac:absPath xmlns:x15ac="http://schemas.microsoft.com/office/spreadsheetml/2010/11/ac" url="E:\Cuts\The Ultimate Orbital Strike Cannon\Tutorial\"/>
    </mc:Choice>
  </mc:AlternateContent>
  <xr:revisionPtr revIDLastSave="0" documentId="8_{F6E91D7B-78A7-4E88-A2B7-89C554353465}" xr6:coauthVersionLast="47" xr6:coauthVersionMax="47" xr10:uidLastSave="{00000000-0000-0000-0000-000000000000}"/>
  <bookViews>
    <workbookView xWindow="6765" yWindow="21480" windowWidth="38640" windowHeight="21240" firstSheet="1" activeTab="1" xr2:uid="{00000000-000D-0000-FFFF-FFFF00000000}"/>
  </bookViews>
  <sheets>
    <sheet name="Chart1" sheetId="2" r:id="rId1"/>
    <sheet name="Sheet1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1" l="1"/>
  <c r="J17" i="1"/>
  <c r="J15" i="1"/>
  <c r="I4" i="1"/>
  <c r="L4" i="1" s="1" a="1"/>
  <c r="L4" i="1" s="1"/>
  <c r="I3" i="1" a="1"/>
  <c r="I3" i="1" s="1"/>
  <c r="L3" i="1" s="1" a="1"/>
  <c r="L3" i="1" s="1"/>
  <c r="L10" i="1" a="1"/>
  <c r="L10" i="1" s="1"/>
  <c r="L9" i="1" a="1"/>
  <c r="L9" i="1" s="1"/>
  <c r="L8" i="1" a="1"/>
  <c r="L8" i="1" s="1"/>
  <c r="L7" i="1" a="1"/>
  <c r="L7" i="1" s="1"/>
  <c r="K11" i="1" a="1"/>
  <c r="K11" i="1" s="1"/>
  <c r="N9" i="1"/>
  <c r="N7" i="1"/>
  <c r="M11" i="1"/>
  <c r="M10" i="1"/>
  <c r="M9" i="1"/>
  <c r="M8" i="1"/>
  <c r="M7" i="1"/>
  <c r="N10" i="1"/>
  <c r="N11" i="1"/>
  <c r="N8" i="1"/>
  <c r="L11" i="1"/>
  <c r="E11" i="1" l="1"/>
  <c r="M3" i="1"/>
  <c r="M4" i="1"/>
  <c r="G9" i="1" l="1"/>
  <c r="G8" i="1"/>
  <c r="G10" i="1"/>
  <c r="G7" i="1"/>
  <c r="F11" i="1"/>
  <c r="N3" i="1"/>
  <c r="I2" i="1" s="1"/>
  <c r="N4" i="1"/>
  <c r="I17" i="1" s="1" a="1"/>
  <c r="I17" i="1" s="1"/>
  <c r="D11" i="1"/>
  <c r="D10" i="1"/>
  <c r="B9" i="1"/>
  <c r="D9" i="1"/>
  <c r="D8" i="1"/>
  <c r="B11" i="1"/>
  <c r="B7" i="1"/>
  <c r="D7" i="1"/>
  <c r="B10" i="1"/>
  <c r="C11" i="1"/>
  <c r="C7" i="1"/>
  <c r="B8" i="1"/>
  <c r="C10" i="1"/>
  <c r="C9" i="1"/>
  <c r="C8" i="1"/>
  <c r="I16" i="1" l="1"/>
  <c r="L2" i="1" a="1"/>
  <c r="L2" i="1" s="1"/>
  <c r="H5" i="1" s="1"/>
  <c r="F8" i="1"/>
  <c r="F10" i="1"/>
  <c r="F9" i="1"/>
  <c r="F7" i="1"/>
  <c r="E10" i="1"/>
  <c r="E9" i="1"/>
  <c r="E8" i="1"/>
  <c r="E7" i="1"/>
  <c r="I5" i="1" l="1" a="1"/>
  <c r="I5" i="1" s="1"/>
  <c r="M2" i="1"/>
  <c r="G11" i="1"/>
  <c r="B5" i="1" l="1" a="1"/>
  <c r="B5" i="1" s="1"/>
  <c r="K10" i="1"/>
  <c r="I9" i="1"/>
  <c r="K9" i="1"/>
  <c r="J11" i="1"/>
  <c r="K7" i="1"/>
  <c r="J10" i="1"/>
  <c r="I11" i="1"/>
  <c r="H11" i="1"/>
  <c r="J7" i="1"/>
  <c r="J8" i="1"/>
  <c r="I8" i="1"/>
  <c r="K8" i="1"/>
  <c r="I10" i="1"/>
  <c r="J9" i="1"/>
  <c r="I7" i="1"/>
  <c r="N2" i="1"/>
  <c r="I15" i="1" s="1" a="1"/>
  <c r="I15" i="1" s="1"/>
  <c r="H10" i="1" l="1"/>
  <c r="H9" i="1"/>
  <c r="H8" i="1"/>
  <c r="H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<sst xmlns="http://schemas.openxmlformats.org/spreadsheetml/2006/main" count="20" uniqueCount="20">
  <si>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Origin</t>
  </si>
  <si>
    <t>Target</t>
  </si>
  <si>
    <t>Nuke Size</t>
  </si>
  <si>
    <t>Stab Depth</t>
  </si>
  <si>
    <t>Type</t>
  </si>
  <si>
    <t>MPS #</t>
  </si>
  <si>
    <t>Passcode</t>
  </si>
  <si>
    <t>Diff</t>
  </si>
  <si>
    <t>dV(+)</t>
  </si>
  <si>
    <t>dV(-)</t>
  </si>
  <si>
    <t>Count</t>
  </si>
  <si>
    <t>Coarse</t>
  </si>
  <si>
    <t>Fine</t>
  </si>
  <si>
    <t>X</t>
  </si>
  <si>
    <t>stab</t>
  </si>
  <si>
    <t>Y</t>
  </si>
  <si>
    <t>Z</t>
  </si>
  <si>
    <t>Good Codes which Never Misfired over &gt;10,000 Cycles</t>
  </si>
  <si>
    <t>Exact Pos</t>
  </si>
  <si>
    <t>Nether 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</si>
</sst>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hh:mm:ss;@"/>
  </numFmts>
  <fonts count="12">
    <font>
      <sz val="11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24"/>
      <color theme="9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sz val="24"/>
      <color rgb="FF9C5700"/>
      <name val="Calibri"/>
      <family val="2"/>
      <scheme val="minor"/>
    </font>
    <font>
      <sz val="24"/>
      <color rgb="FF3F3F76"/>
      <name val="Calibri"/>
      <family val="2"/>
      <scheme val="minor"/>
    </font>
    <font>
      <sz val="12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9C5700"/>
      <name val="Calibri"/>
      <family val="2"/>
      <scheme val="minor"/>
    </font>
    <font>
      <sz val="10"/>
      <color rgb="FF000000"/>
      <name val="Courier New"/>
      <family val="3"/>
    </font>
    <font>
      <sz val="11"/>
      <color rgb="FF00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99663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/>
      <right/>
      <top style="thin">
        <color rgb="FF7F7F7F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5" fillId="14" borderId="0" applyNumberFormat="0" applyBorder="0" applyAlignment="0" applyProtection="0"/>
    <xf numFmtId="0" fontId="6" fillId="15" borderId="2" applyNumberFormat="0" applyAlignment="0" applyProtection="0"/>
  </cellStyleXfs>
  <cellXfs count="40">
    <xf numFmtId="0" fontId="0" fillId="0" borderId="0" xfId="0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2" fillId="7" borderId="0" xfId="0" applyFont="1" applyFill="1"/>
    <xf numFmtId="0" fontId="0" fillId="8" borderId="0" xfId="0" applyFill="1"/>
    <xf numFmtId="0" fontId="0" fillId="7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3" fillId="2" borderId="1" xfId="1" applyFont="1" applyAlignment="1">
      <alignment horizontal="center" vertical="center"/>
    </xf>
    <xf numFmtId="0" fontId="4" fillId="8" borderId="0" xfId="0" applyFont="1" applyFill="1"/>
    <xf numFmtId="0" fontId="0" fillId="16" borderId="0" xfId="0" applyFill="1"/>
    <xf numFmtId="0" fontId="0" fillId="17" borderId="0" xfId="0" applyFill="1"/>
    <xf numFmtId="0" fontId="8" fillId="17" borderId="0" xfId="0" applyFont="1" applyFill="1"/>
    <xf numFmtId="0" fontId="9" fillId="14" borderId="0" xfId="2" applyFont="1"/>
    <xf numFmtId="2" fontId="9" fillId="14" borderId="0" xfId="2" applyNumberFormat="1" applyFont="1"/>
    <xf numFmtId="164" fontId="9" fillId="14" borderId="0" xfId="2" applyNumberFormat="1" applyFont="1"/>
    <xf numFmtId="0" fontId="9" fillId="7" borderId="0" xfId="2" applyFont="1" applyFill="1" applyAlignment="1">
      <alignment horizontal="right"/>
    </xf>
    <xf numFmtId="1" fontId="7" fillId="15" borderId="2" xfId="3" applyNumberFormat="1" applyFont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right"/>
    </xf>
    <xf numFmtId="0" fontId="0" fillId="6" borderId="3" xfId="0" applyFill="1" applyBorder="1" applyAlignment="1">
      <alignment horizontal="center"/>
    </xf>
    <xf numFmtId="0" fontId="10" fillId="0" borderId="0" xfId="0" applyFont="1"/>
    <xf numFmtId="0" fontId="0" fillId="18" borderId="3" xfId="0" applyFill="1" applyBorder="1"/>
    <xf numFmtId="0" fontId="11" fillId="18" borderId="3" xfId="0" applyFont="1" applyFill="1" applyBorder="1"/>
    <xf numFmtId="0" fontId="9" fillId="14" borderId="9" xfId="2" applyFont="1" applyBorder="1"/>
    <xf numFmtId="0" fontId="9" fillId="20" borderId="0" xfId="2" applyFont="1" applyFill="1" applyAlignment="1">
      <alignment horizontal="right"/>
    </xf>
    <xf numFmtId="0" fontId="7" fillId="15" borderId="4" xfId="3" applyFont="1" applyBorder="1" applyAlignment="1">
      <alignment horizontal="center" vertical="center"/>
    </xf>
    <xf numFmtId="0" fontId="7" fillId="15" borderId="2" xfId="3" applyFont="1" applyAlignment="1">
      <alignment horizontal="center" vertical="center"/>
    </xf>
    <xf numFmtId="0" fontId="0" fillId="19" borderId="6" xfId="0" applyFill="1" applyBorder="1" applyAlignment="1">
      <alignment horizontal="center"/>
    </xf>
    <xf numFmtId="0" fontId="0" fillId="19" borderId="7" xfId="0" applyFill="1" applyBorder="1" applyAlignment="1">
      <alignment horizontal="center"/>
    </xf>
    <xf numFmtId="0" fontId="0" fillId="19" borderId="8" xfId="0" applyFill="1" applyBorder="1" applyAlignment="1">
      <alignment horizontal="center"/>
    </xf>
    <xf numFmtId="165" fontId="8" fillId="17" borderId="5" xfId="0" applyNumberFormat="1" applyFont="1" applyFill="1" applyBorder="1" applyAlignment="1">
      <alignment horizontal="center" vertical="center"/>
    </xf>
    <xf numFmtId="0" fontId="0" fillId="17" borderId="0" xfId="0" applyFill="1" applyAlignment="1">
      <alignment horizontal="center"/>
    </xf>
    <xf numFmtId="0" fontId="7" fillId="15" borderId="4" xfId="3" applyFont="1" applyBorder="1" applyAlignment="1">
      <alignment horizontal="center" vertical="center"/>
    </xf>
    <xf numFmtId="0" fontId="7" fillId="15" borderId="2" xfId="3" applyFont="1" applyAlignment="1">
      <alignment horizontal="center" vertical="center"/>
    </xf>
  </cellXfs>
  <cellStyles count="4">
    <cellStyle name="Eingabe" xfId="3" builtinId="20"/>
    <cellStyle name="Neutral" xfId="2" builtinId="28"/>
    <cellStyle name="Standard" xfId="0" builtinId="0"/>
    <cellStyle name="Zelle überprüfen" xfId="1" builtinId="23"/>
  </cellStyles>
  <dxfs count="8">
    <dxf>
      <fill>
        <patternFill>
          <bgColor rgb="FFFF6D6D"/>
        </patternFill>
      </fill>
    </dxf>
    <dxf>
      <fill>
        <patternFill>
          <bgColor rgb="FFFF6D6D"/>
        </patternFill>
      </fill>
    </dxf>
    <dxf>
      <fill>
        <patternFill>
          <bgColor rgb="FFFF6D6D"/>
        </patternFill>
      </fill>
    </dxf>
    <dxf>
      <fill>
        <patternFill>
          <bgColor rgb="FFFF6D6D"/>
        </patternFill>
      </fill>
    </dxf>
    <dxf>
      <fill>
        <patternFill>
          <bgColor rgb="FFFF6D6D"/>
        </patternFill>
      </fill>
    </dxf>
    <dxf>
      <fill>
        <patternFill>
          <bgColor rgb="FFFF6D6D"/>
        </patternFill>
      </fill>
    </dxf>
    <dxf>
      <fill>
        <patternFill>
          <bgColor rgb="FFFF6D6D"/>
        </patternFill>
      </fill>
    </dxf>
    <dxf>
      <fill>
        <patternFill>
          <bgColor rgb="FFFF6D6D"/>
        </patternFill>
      </fill>
    </dxf>
  </dxfs>
  <tableStyles count="0" defaultTableStyle="TableStyleMedium2" defaultPivotStyle="PivotStyleLight16"/>
  <colors>
    <mruColors>
      <color rgb="FFFF6D6D"/>
      <color rgb="FFFF8F8F"/>
      <color rgb="FFFF000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Sheet1!$A$2</c:f>
              <c:strCache>
                <c:ptCount val="1"/>
                <c:pt idx="0">
                  <c:v>X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Sheet1!$B$1:$N$1</c:f>
              <c:strCache>
                <c:ptCount val="13"/>
                <c:pt idx="0">
                  <c:v>Origin</c:v>
                </c:pt>
                <c:pt idx="1">
                  <c:v>Target</c:v>
                </c:pt>
                <c:pt idx="2">
                  <c:v>Nuke Size</c:v>
                </c:pt>
                <c:pt idx="3">
                  <c:v>Stab Depth</c:v>
                </c:pt>
                <c:pt idx="4">
                  <c:v>Type</c:v>
                </c:pt>
                <c:pt idx="5">
                  <c:v>MPS #</c:v>
                </c:pt>
                <c:pt idx="6">
                  <c:v>Passcode</c:v>
                </c:pt>
                <c:pt idx="7">
                  <c:v>Diff</c:v>
                </c:pt>
                <c:pt idx="8">
                  <c:v>dV(+)</c:v>
                </c:pt>
                <c:pt idx="9">
                  <c:v>dV(-)</c:v>
                </c:pt>
                <c:pt idx="10">
                  <c:v>Count</c:v>
                </c:pt>
                <c:pt idx="11">
                  <c:v>Coarse</c:v>
                </c:pt>
                <c:pt idx="12">
                  <c:v>Fine</c:v>
                </c:pt>
              </c:strCache>
            </c:strRef>
          </c:cat>
          <c:val>
            <c:numRef>
              <c:f>Sheet1!$B$2:$N$2</c:f>
              <c:numCache>
                <c:formatCode>General</c:formatCode>
                <c:ptCount val="13"/>
                <c:pt idx="0">
                  <c:v>6400</c:v>
                </c:pt>
                <c:pt idx="1">
                  <c:v>-909</c:v>
                </c:pt>
                <c:pt idx="2">
                  <c:v>16</c:v>
                </c:pt>
                <c:pt idx="3">
                  <c:v>150</c:v>
                </c:pt>
                <c:pt idx="4">
                  <c:v>0</c:v>
                </c:pt>
                <c:pt idx="5">
                  <c:v>0</c:v>
                </c:pt>
                <c:pt idx="6">
                  <c:v>940</c:v>
                </c:pt>
                <c:pt idx="7">
                  <c:v>-7321.9585056492851</c:v>
                </c:pt>
                <c:pt idx="8" formatCode="0.00">
                  <c:v>8.7555532871515194</c:v>
                </c:pt>
                <c:pt idx="9" formatCode="0.00">
                  <c:v>-8.6645910557899608</c:v>
                </c:pt>
                <c:pt idx="10">
                  <c:v>938.93749841604085</c:v>
                </c:pt>
                <c:pt idx="11">
                  <c:v>938</c:v>
                </c:pt>
                <c:pt idx="1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79-4C5C-AC77-85364BE8EDD8}"/>
            </c:ext>
          </c:extLst>
        </c:ser>
        <c:ser>
          <c:idx val="1"/>
          <c:order val="1"/>
          <c:tx>
            <c:strRef>
              <c:f>Sheet1!$A$3</c:f>
              <c:strCache>
                <c:ptCount val="1"/>
                <c:pt idx="0">
                  <c:v>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Sheet1!$B$1:$N$1</c:f>
              <c:strCache>
                <c:ptCount val="13"/>
                <c:pt idx="0">
                  <c:v>Origin</c:v>
                </c:pt>
                <c:pt idx="1">
                  <c:v>Target</c:v>
                </c:pt>
                <c:pt idx="2">
                  <c:v>Nuke Size</c:v>
                </c:pt>
                <c:pt idx="3">
                  <c:v>Stab Depth</c:v>
                </c:pt>
                <c:pt idx="4">
                  <c:v>Type</c:v>
                </c:pt>
                <c:pt idx="5">
                  <c:v>MPS #</c:v>
                </c:pt>
                <c:pt idx="6">
                  <c:v>Passcode</c:v>
                </c:pt>
                <c:pt idx="7">
                  <c:v>Diff</c:v>
                </c:pt>
                <c:pt idx="8">
                  <c:v>dV(+)</c:v>
                </c:pt>
                <c:pt idx="9">
                  <c:v>dV(-)</c:v>
                </c:pt>
                <c:pt idx="10">
                  <c:v>Count</c:v>
                </c:pt>
                <c:pt idx="11">
                  <c:v>Coarse</c:v>
                </c:pt>
                <c:pt idx="12">
                  <c:v>Fine</c:v>
                </c:pt>
              </c:strCache>
            </c:strRef>
          </c:cat>
          <c:val>
            <c:numRef>
              <c:f>Sheet1!$B$3:$N$3</c:f>
              <c:numCache>
                <c:formatCode>General</c:formatCode>
                <c:ptCount val="13"/>
                <c:pt idx="0">
                  <c:v>0</c:v>
                </c:pt>
                <c:pt idx="1">
                  <c:v>62</c:v>
                </c:pt>
                <c:pt idx="7">
                  <c:v>211.13249999999999</c:v>
                </c:pt>
                <c:pt idx="8" formatCode="0.00">
                  <c:v>8.8162160691682594</c:v>
                </c:pt>
                <c:pt idx="9" formatCode="0.00">
                  <c:v>-0.59696839691966697</c:v>
                </c:pt>
                <c:pt idx="10">
                  <c:v>15.965466238088595</c:v>
                </c:pt>
                <c:pt idx="11">
                  <c:v>15</c:v>
                </c:pt>
                <c:pt idx="1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79-4C5C-AC77-85364BE8EDD8}"/>
            </c:ext>
          </c:extLst>
        </c:ser>
        <c:ser>
          <c:idx val="2"/>
          <c:order val="2"/>
          <c:tx>
            <c:strRef>
              <c:f>Sheet1!$A$4</c:f>
              <c:strCache>
                <c:ptCount val="1"/>
                <c:pt idx="0">
                  <c:v>Z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Sheet1!$B$1:$N$1</c:f>
              <c:strCache>
                <c:ptCount val="13"/>
                <c:pt idx="0">
                  <c:v>Origin</c:v>
                </c:pt>
                <c:pt idx="1">
                  <c:v>Target</c:v>
                </c:pt>
                <c:pt idx="2">
                  <c:v>Nuke Size</c:v>
                </c:pt>
                <c:pt idx="3">
                  <c:v>Stab Depth</c:v>
                </c:pt>
                <c:pt idx="4">
                  <c:v>Type</c:v>
                </c:pt>
                <c:pt idx="5">
                  <c:v>MPS #</c:v>
                </c:pt>
                <c:pt idx="6">
                  <c:v>Passcode</c:v>
                </c:pt>
                <c:pt idx="7">
                  <c:v>Diff</c:v>
                </c:pt>
                <c:pt idx="8">
                  <c:v>dV(+)</c:v>
                </c:pt>
                <c:pt idx="9">
                  <c:v>dV(-)</c:v>
                </c:pt>
                <c:pt idx="10">
                  <c:v>Count</c:v>
                </c:pt>
                <c:pt idx="11">
                  <c:v>Coarse</c:v>
                </c:pt>
                <c:pt idx="12">
                  <c:v>Fine</c:v>
                </c:pt>
              </c:strCache>
            </c:strRef>
          </c:cat>
          <c:val>
            <c:numRef>
              <c:f>Sheet1!$B$4:$N$4</c:f>
              <c:numCache>
                <c:formatCode>0</c:formatCode>
                <c:ptCount val="13"/>
                <c:pt idx="0" formatCode="General">
                  <c:v>480</c:v>
                </c:pt>
                <c:pt idx="1">
                  <c:v>-1065</c:v>
                </c:pt>
                <c:pt idx="7" formatCode="0.0">
                  <c:v>-1545</c:v>
                </c:pt>
                <c:pt idx="8" formatCode="0.00">
                  <c:v>8.7555532871515194</c:v>
                </c:pt>
                <c:pt idx="9" formatCode="0.00">
                  <c:v>-8.6645910557899608</c:v>
                </c:pt>
                <c:pt idx="10" formatCode="General">
                  <c:v>198.12437258877142</c:v>
                </c:pt>
                <c:pt idx="11" formatCode="General">
                  <c:v>198</c:v>
                </c:pt>
                <c:pt idx="12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79-4C5C-AC77-85364BE8EDD8}"/>
            </c:ext>
          </c:extLst>
        </c:ser>
        <c:ser>
          <c:idx val="3"/>
          <c:order val="3"/>
          <c:tx>
            <c:strRef>
              <c:f>Sheet1!$A$5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Sheet1!$B$1:$N$1</c:f>
              <c:strCache>
                <c:ptCount val="13"/>
                <c:pt idx="0">
                  <c:v>Origin</c:v>
                </c:pt>
                <c:pt idx="1">
                  <c:v>Target</c:v>
                </c:pt>
                <c:pt idx="2">
                  <c:v>Nuke Size</c:v>
                </c:pt>
                <c:pt idx="3">
                  <c:v>Stab Depth</c:v>
                </c:pt>
                <c:pt idx="4">
                  <c:v>Type</c:v>
                </c:pt>
                <c:pt idx="5">
                  <c:v>MPS #</c:v>
                </c:pt>
                <c:pt idx="6">
                  <c:v>Passcode</c:v>
                </c:pt>
                <c:pt idx="7">
                  <c:v>Diff</c:v>
                </c:pt>
                <c:pt idx="8">
                  <c:v>dV(+)</c:v>
                </c:pt>
                <c:pt idx="9">
                  <c:v>dV(-)</c:v>
                </c:pt>
                <c:pt idx="10">
                  <c:v>Count</c:v>
                </c:pt>
                <c:pt idx="11">
                  <c:v>Coarse</c:v>
                </c:pt>
                <c:pt idx="12">
                  <c:v>Fine</c:v>
                </c:pt>
              </c:strCache>
            </c:strRef>
          </c:cat>
          <c:val>
            <c:numRef>
              <c:f>Sheet1!$B$5:$N$5</c:f>
              <c:numCache>
                <c:formatCode>hh:mm:ss;@</c:formatCode>
                <c:ptCount val="13"/>
                <c:pt idx="0">
                  <c:v>4.1898148148148146E-3</c:v>
                </c:pt>
                <c:pt idx="6" formatCode="General">
                  <c:v>0</c:v>
                </c:pt>
                <c:pt idx="7" formatCode="General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79-4C5C-AC77-85364BE8ED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9134191"/>
        <c:axId val="219136111"/>
      </c:barChart>
      <c:catAx>
        <c:axId val="219134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9136111"/>
        <c:crosses val="autoZero"/>
        <c:auto val="1"/>
        <c:lblAlgn val="ctr"/>
        <c:lblOffset val="100"/>
        <c:noMultiLvlLbl val="0"/>
      </c:catAx>
      <c:valAx>
        <c:axId val="219136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91341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77E5331-D5E9-4B5D-9E54-FA7EEFCF7BEC}">
  <sheetPr/>
  <sheetViews>
    <sheetView zoomScale="15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525" cy="607294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1CB74A-7D0E-8952-C7F2-5C72C195B10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9"/>
  <sheetViews>
    <sheetView tabSelected="1" zoomScale="220" zoomScaleNormal="220" workbookViewId="0">
      <selection activeCell="F5" sqref="F5"/>
    </sheetView>
  </sheetViews>
  <sheetFormatPr defaultRowHeight="15"/>
  <cols>
    <col min="1" max="1" width="2.28515625" customWidth="1"/>
    <col min="2" max="14" width="10.7109375" customWidth="1"/>
    <col min="15" max="15" width="2.5703125" customWidth="1"/>
  </cols>
  <sheetData>
    <row r="1" spans="1:15" ht="15.75">
      <c r="A1" s="16"/>
      <c r="B1" s="23" t="s">
        <v>0</v>
      </c>
      <c r="C1" s="23" t="s">
        <v>1</v>
      </c>
      <c r="D1" s="23" t="s">
        <v>2</v>
      </c>
      <c r="E1" s="24" t="s">
        <v>3</v>
      </c>
      <c r="F1" s="25" t="s">
        <v>4</v>
      </c>
      <c r="G1" s="23" t="s">
        <v>5</v>
      </c>
      <c r="H1" s="23" t="s">
        <v>6</v>
      </c>
      <c r="I1" s="21" t="s">
        <v>7</v>
      </c>
      <c r="J1" s="21" t="s">
        <v>8</v>
      </c>
      <c r="K1" s="21" t="s">
        <v>9</v>
      </c>
      <c r="L1" s="21" t="s">
        <v>10</v>
      </c>
      <c r="M1" s="21" t="s">
        <v>11</v>
      </c>
      <c r="N1" s="21" t="s">
        <v>12</v>
      </c>
      <c r="O1" s="16"/>
    </row>
    <row r="2" spans="1:15" ht="15.75">
      <c r="A2" s="17" t="s">
        <v>13</v>
      </c>
      <c r="B2" s="31">
        <v>6400</v>
      </c>
      <c r="C2" s="31">
        <v>-909</v>
      </c>
      <c r="D2" s="38">
        <v>16</v>
      </c>
      <c r="E2" s="38">
        <v>150</v>
      </c>
      <c r="F2" s="38" t="s">
        <v>14</v>
      </c>
      <c r="G2" s="38">
        <v>0</v>
      </c>
      <c r="H2" s="38">
        <v>940</v>
      </c>
      <c r="I2" s="18">
        <f>C2 - (B2 + (M3+N3/10)*K3 + 22.51 + G2)</f>
        <v>-7321.9585056492851</v>
      </c>
      <c r="J2" s="19">
        <v>8.7555532871515194</v>
      </c>
      <c r="K2" s="19">
        <v>-8.6645910557899608</v>
      </c>
      <c r="L2" s="18" cm="1">
        <f t="array" ref="L2">_xlfn.SWITCH(TRUE, I2/(0.9*J2)&gt;32767.999,32767.999, I2/(0.9*K2)&gt;32767.999,32767.999, I2&gt;=0, I2/(0.9*J2), I2&lt;0, I2/(0.9*K2))</f>
        <v>938.93749841604085</v>
      </c>
      <c r="M2" s="18">
        <f>FLOOR(L2,1)</f>
        <v>938</v>
      </c>
      <c r="N2" s="18">
        <f>ROUND(10*(L2-M2),0)</f>
        <v>9</v>
      </c>
      <c r="O2" s="16"/>
    </row>
    <row r="3" spans="1:15" ht="15.75">
      <c r="A3" s="17" t="s">
        <v>15</v>
      </c>
      <c r="B3" s="32">
        <v>0</v>
      </c>
      <c r="C3" s="32">
        <v>62</v>
      </c>
      <c r="D3" s="39"/>
      <c r="E3" s="39"/>
      <c r="F3" s="39"/>
      <c r="G3" s="39"/>
      <c r="H3" s="39"/>
      <c r="I3" s="18" cm="1">
        <f t="array" ref="I3">_xlfn.SWITCH(TRUE,F2="nuke",140+C3-(B3+2.1875),F2="stab", 106.92+44.4+C3-(B3+2.1875))</f>
        <v>211.13249999999999</v>
      </c>
      <c r="J3" s="19">
        <v>8.8162160691682594</v>
      </c>
      <c r="K3" s="19">
        <v>-0.59696839691966697</v>
      </c>
      <c r="L3" s="18" cm="1">
        <f t="array" ref="L3">_xlfn.SWITCH(TRUE, I3/(1.5*J3)&gt;31.999,31.999, I3&lt;50,50/(1.5*J3), I3&gt;=50,I3/(1.5*J3))</f>
        <v>15.965466238088595</v>
      </c>
      <c r="M3" s="18">
        <f>FLOOR(L3,1)</f>
        <v>15</v>
      </c>
      <c r="N3" s="18">
        <f>ROUND(10*(L3-M3),0)</f>
        <v>10</v>
      </c>
      <c r="O3" s="16"/>
    </row>
    <row r="4" spans="1:15" ht="15.75">
      <c r="A4" s="17" t="s">
        <v>16</v>
      </c>
      <c r="B4" s="32">
        <v>480</v>
      </c>
      <c r="C4" s="22">
        <v>-1065</v>
      </c>
      <c r="D4" s="39"/>
      <c r="E4" s="39"/>
      <c r="F4" s="39"/>
      <c r="G4" s="39"/>
      <c r="H4" s="39"/>
      <c r="I4" s="20">
        <f>C4 - B4</f>
        <v>-1545</v>
      </c>
      <c r="J4" s="19">
        <v>8.7555532871515194</v>
      </c>
      <c r="K4" s="19">
        <v>-8.6645910557899608</v>
      </c>
      <c r="L4" s="18" cm="1">
        <f t="array" ref="L4">_xlfn.SWITCH(TRUE, I4/(0.9*J4)&gt;32767.999,32767.999, I4/(0.9*K4)&gt;32767.999,32767.999, I4&gt;=0, I4/(0.9*J4), I4&lt;0, I4/(0.9*K4))</f>
        <v>198.12437258877142</v>
      </c>
      <c r="M4" s="18">
        <f t="shared" ref="M4" si="0">FLOOR(L4,1)</f>
        <v>198</v>
      </c>
      <c r="N4" s="18">
        <f t="shared" ref="N4" si="1">ROUND(10*(L4-M4),0)</f>
        <v>1</v>
      </c>
      <c r="O4" s="16"/>
    </row>
    <row r="5" spans="1:15">
      <c r="A5" s="16"/>
      <c r="B5" s="36" cm="1">
        <f t="array" ref="B5">CEILING(_xlfn.SWITCH(TRUE, F2="nuke",930+6*(SUM(_xlfn.SEQUENCE(D2)+2.4375)+MAX(M2,M4)+M3+2), F2="stab",1300+6*(2*ROUND(E2/(9*0.99),0)+MAX(M2,M4)+M3+2))/20,1)/(60*60*24)</f>
        <v>4.1898148148148146E-3</v>
      </c>
      <c r="C5" s="36"/>
      <c r="D5" s="36"/>
      <c r="E5" s="16"/>
      <c r="F5" s="16"/>
      <c r="G5" s="16"/>
      <c r="H5" s="16" t="b">
        <f>OR(MOD(B2,16)&gt;0, MOD(B3,16)&gt;0, MOD(B4,16)&gt;0, D2&gt;16, L2&gt;=32767.999, L4&gt;=32767.999, L3&gt;=31.999, SQRT((C2-B2)^2+(C4-B4)^2)&lt;64,AND(L2&lt;1,L4&lt;1), I3&lt;50, D2&lt;1, E2&lt;1, CEILING(E2/(9*0.99),1)&gt;31, COUNTIF(B15:G51,H2)&lt;1)</f>
        <v>0</v>
      </c>
      <c r="I5" s="37" t="e" cm="1">
        <f t="array" ref="I5">_xlfn.SWITCH(TRUE, OR(MOD(B2,16)&gt;0,MOD(B3,16)&gt;0,MOD(B4,16)&gt;0),"WARNING, CANNON ORIGIN IS NOT CHUNK ALIGNED", OR(I2/(0.9*J2)&gt;32767.999,I2/(0.9*K2)&gt;32767.999,I4/(0.9*J4)&gt;32767.999,I4/(0.9*K4)&gt;32767.999),"WARNING, TARGET IS OUT OF RANGE", OR(SQRT((C2-B2)^2+(C4-B4)^2)&lt;64,AND(L2&lt;1,L4&lt;1)), "WARNING, TARGET IS TOO CLOSE TO INITIALISE CANNON", I3/(1.5*J3)&gt;31.999,"WARNING, TARGET IS TOO HIGH", I3&lt;50,"WARNING, TARGET IS TOO LOW", OR(D2&lt;1,E2&lt;1),"WARNING, PAYLOAD SIZE MUST BE GREATER THAN 0",D2&gt;31, "WARNING, NUKE SIZE CANNOT EXCEED 31", E2&gt;276,"WARNING, STAB DEPTH CANNOT EXCEED 276", COUNTIF(B15:G51,H2)&lt;1,"WARNING, PLEASE USE A GOOD CODE PROVIDED FOR RELIABILITY", D2&gt;16,"WARNING, NUKE SIZES ABOVE 16 MAY LAG GAME")</f>
        <v>#N/A</v>
      </c>
      <c r="J5" s="37"/>
      <c r="K5" s="37"/>
      <c r="L5" s="37"/>
      <c r="M5" s="37"/>
      <c r="N5" s="37"/>
      <c r="O5" s="16"/>
    </row>
    <row r="6" spans="1:15" ht="30" customHeight="1" thickBot="1">
      <c r="A6" s="12"/>
      <c r="B6" s="1"/>
      <c r="C6" s="1"/>
      <c r="D6" s="1"/>
      <c r="E6" s="2"/>
      <c r="F6" s="3"/>
      <c r="G6" s="3"/>
      <c r="H6" s="5"/>
      <c r="I6" s="4"/>
      <c r="J6" s="4"/>
      <c r="K6" s="4"/>
      <c r="L6" s="6"/>
      <c r="M6" s="15"/>
      <c r="N6" s="15"/>
      <c r="O6" s="12"/>
    </row>
    <row r="7" spans="1:15" ht="30" customHeight="1" thickTop="1" thickBot="1">
      <c r="A7" s="12"/>
      <c r="B7" s="13">
        <f>MOD(FLOOR(M4/1,1),2)</f>
        <v>0</v>
      </c>
      <c r="C7" s="13">
        <f>MOD(FLOOR(M4/32,1),2)</f>
        <v>0</v>
      </c>
      <c r="D7" s="13">
        <f>MOD(FLOOR(M4/1024,1),2)</f>
        <v>0</v>
      </c>
      <c r="E7" s="13">
        <f>1-MOD(FLOOR(N4/8,1),2)</f>
        <v>1</v>
      </c>
      <c r="F7" s="13">
        <f>1-MOD(FLOOR(N3/8,1),2)</f>
        <v>0</v>
      </c>
      <c r="G7" s="13">
        <f>MOD(FLOOR(M3/8,1),2)</f>
        <v>1</v>
      </c>
      <c r="H7" s="13">
        <f>1-MOD(FLOOR(N2/8,1),2)</f>
        <v>0</v>
      </c>
      <c r="I7" s="13">
        <f>MOD(FLOOR(M2/8192,1),2)</f>
        <v>0</v>
      </c>
      <c r="J7" s="13">
        <f>MOD(FLOOR(M2/256,1),2)</f>
        <v>1</v>
      </c>
      <c r="K7" s="13">
        <f>MOD(FLOOR(M2/8,1),2)</f>
        <v>1</v>
      </c>
      <c r="L7" s="13" cm="1">
        <f t="array" ref="L7">_xlfn.SWITCH(TRUE,F2="nuke",MOD(FLOOR(D2/2,1),2),F2="stab",MOD(FLOOR(CEILING(E2/(9*0.99),1)/2,1),2))</f>
        <v>0</v>
      </c>
      <c r="M7" s="13">
        <f>MOD(FLOOR(H2/512,1),2)</f>
        <v>1</v>
      </c>
      <c r="N7" s="13">
        <f>MOD(FLOOR(H2/16,1),2)</f>
        <v>0</v>
      </c>
      <c r="O7" s="12"/>
    </row>
    <row r="8" spans="1:15" ht="30" customHeight="1" thickTop="1" thickBot="1">
      <c r="A8" s="11"/>
      <c r="B8" s="13">
        <f>MOD(FLOOR(M4/2,1),2)</f>
        <v>1</v>
      </c>
      <c r="C8" s="13">
        <f>MOD(FLOOR(M4/64,1),2)</f>
        <v>1</v>
      </c>
      <c r="D8" s="13">
        <f>MOD(FLOOR(M4/2048,1),2)</f>
        <v>0</v>
      </c>
      <c r="E8" s="13">
        <f>1-MOD(FLOOR(N4/4,1),2)</f>
        <v>1</v>
      </c>
      <c r="F8" s="13">
        <f>1-MOD(FLOOR(N3/4,1),2)</f>
        <v>1</v>
      </c>
      <c r="G8" s="13">
        <f>MOD(FLOOR(M3/4,1),2)</f>
        <v>1</v>
      </c>
      <c r="H8" s="13">
        <f>1-MOD(FLOOR(N2/4,1),2)</f>
        <v>1</v>
      </c>
      <c r="I8" s="13">
        <f>MOD(FLOOR(M2/4096,1),2)</f>
        <v>0</v>
      </c>
      <c r="J8" s="13">
        <f>MOD(FLOOR(M2/128,1),2)</f>
        <v>1</v>
      </c>
      <c r="K8" s="13">
        <f>MOD(FLOOR(M2/4,1),2)</f>
        <v>0</v>
      </c>
      <c r="L8" s="13" cm="1">
        <f t="array" ref="L8">_xlfn.SWITCH(TRUE,F2="nuke",MOD(FLOOR(D2/4,1),2),F2="stab",MOD(FLOOR(CEILING(E2/(9*0.99),1)/4,1),2))</f>
        <v>0</v>
      </c>
      <c r="M8" s="13">
        <f>MOD(FLOOR(H2/256,1),2)</f>
        <v>1</v>
      </c>
      <c r="N8" s="13">
        <f>MOD(FLOOR(H2/8,1),2)</f>
        <v>1</v>
      </c>
      <c r="O8" s="11"/>
    </row>
    <row r="9" spans="1:15" ht="30" customHeight="1" thickTop="1" thickBot="1">
      <c r="A9" s="10"/>
      <c r="B9" s="13">
        <f>MOD(FLOOR(M4/4,1),2)</f>
        <v>1</v>
      </c>
      <c r="C9" s="13">
        <f>MOD(FLOOR(M4/128,1),2)</f>
        <v>1</v>
      </c>
      <c r="D9" s="13">
        <f>MOD(FLOOR(M4/4096,1),2)</f>
        <v>0</v>
      </c>
      <c r="E9" s="13">
        <f>1-MOD(FLOOR(N4/2,1),2)</f>
        <v>1</v>
      </c>
      <c r="F9" s="13">
        <f>1-MOD(FLOOR(N3/2,1),2)</f>
        <v>0</v>
      </c>
      <c r="G9" s="13">
        <f>MOD(FLOOR(M3/2,1),2)</f>
        <v>1</v>
      </c>
      <c r="H9" s="13">
        <f>1-MOD(FLOOR(N2/2,1),2)</f>
        <v>1</v>
      </c>
      <c r="I9" s="13">
        <f>MOD(FLOOR(M2/2048,1),2)</f>
        <v>0</v>
      </c>
      <c r="J9" s="13">
        <f>MOD(FLOOR(M2/64,1),2)</f>
        <v>0</v>
      </c>
      <c r="K9" s="13">
        <f>MOD(FLOOR(M2/2,1),2)</f>
        <v>1</v>
      </c>
      <c r="L9" s="13" cm="1">
        <f t="array" ref="L9">_xlfn.SWITCH(TRUE,F2="nuke",MOD(FLOOR(D2/8,1),2),F2="stab",MOD(FLOOR(CEILING(E2/(9*0.99),1)/8,1),2))</f>
        <v>0</v>
      </c>
      <c r="M9" s="13">
        <f>MOD(FLOOR(H2/128,1),2)</f>
        <v>1</v>
      </c>
      <c r="N9" s="13">
        <f>MOD(FLOOR(H2/4,1),2)</f>
        <v>1</v>
      </c>
      <c r="O9" s="10"/>
    </row>
    <row r="10" spans="1:15" ht="30" customHeight="1" thickTop="1" thickBot="1">
      <c r="A10" s="9"/>
      <c r="B10" s="13">
        <f>MOD(FLOOR(M4/8,1),2)</f>
        <v>0</v>
      </c>
      <c r="C10" s="13">
        <f>MOD(FLOOR(M4/256,1),2)</f>
        <v>0</v>
      </c>
      <c r="D10" s="13">
        <f>MOD(FLOOR(M4/8192,1),2)</f>
        <v>0</v>
      </c>
      <c r="E10" s="13">
        <f>1-MOD(FLOOR(N4/1,1),2)</f>
        <v>0</v>
      </c>
      <c r="F10" s="13">
        <f>1-MOD(FLOOR(N3/1,1),2)</f>
        <v>1</v>
      </c>
      <c r="G10" s="13">
        <f>MOD(FLOOR(M3/1,1),2)</f>
        <v>1</v>
      </c>
      <c r="H10" s="13">
        <f>1-MOD(FLOOR(N2/1,1),2)</f>
        <v>0</v>
      </c>
      <c r="I10" s="13">
        <f>MOD(FLOOR(M2/1024,1),2)</f>
        <v>0</v>
      </c>
      <c r="J10" s="13">
        <f>MOD(FLOOR(M2/32,1),2)</f>
        <v>1</v>
      </c>
      <c r="K10" s="13">
        <f>MOD(FLOOR(M2/1,1),2)</f>
        <v>0</v>
      </c>
      <c r="L10" s="13" cm="1">
        <f t="array" ref="L10">_xlfn.SWITCH(TRUE,F2="nuke",MOD(FLOOR(D2/16,1),2),F2="stab",MOD(FLOOR(CEILING(E2/(9*0.99),1)/16,1),2))</f>
        <v>1</v>
      </c>
      <c r="M10" s="13">
        <f>MOD(FLOOR(H2/64,1),2)</f>
        <v>0</v>
      </c>
      <c r="N10" s="13">
        <f>MOD(FLOOR(H2/2,1),2)</f>
        <v>0</v>
      </c>
      <c r="O10" s="9"/>
    </row>
    <row r="11" spans="1:15" ht="30" customHeight="1" thickTop="1" thickBot="1">
      <c r="A11" s="8"/>
      <c r="B11" s="13">
        <f>MOD(FLOOR(M4/16,1),2)</f>
        <v>0</v>
      </c>
      <c r="C11" s="13">
        <f>MOD(FLOOR(M4/512,1),2)</f>
        <v>0</v>
      </c>
      <c r="D11" s="13">
        <f>MOD(FLOOR(M4/16384,1),2)</f>
        <v>0</v>
      </c>
      <c r="E11" s="13">
        <f>1*(I4&lt;0)</f>
        <v>1</v>
      </c>
      <c r="F11" s="13">
        <f>MOD(FLOOR(M3/16,1),2)</f>
        <v>0</v>
      </c>
      <c r="G11" s="13">
        <f>1*(I2&lt;0)</f>
        <v>1</v>
      </c>
      <c r="H11" s="13">
        <f>MOD(FLOOR(M2/16384,1),2)</f>
        <v>0</v>
      </c>
      <c r="I11" s="13">
        <f>MOD(FLOOR(M2/512,1),2)</f>
        <v>1</v>
      </c>
      <c r="J11" s="13">
        <f>MOD(FLOOR(M2/16,1),2)</f>
        <v>0</v>
      </c>
      <c r="K11" s="13" cm="1">
        <f t="array" ref="K11">_xlfn.SWITCH(TRUE,F2="nuke",MOD(FLOOR(D2/1,1),2),F2="stab",MOD(FLOOR(CEILING(E2/(9*0.99),1)/1,1),2))</f>
        <v>1</v>
      </c>
      <c r="L11" s="13">
        <f>1*(F2="nuke")</f>
        <v>0</v>
      </c>
      <c r="M11" s="13">
        <f>MOD(FLOOR(H2/32,1),2)</f>
        <v>1</v>
      </c>
      <c r="N11" s="13">
        <f>MOD(FLOOR(H2/1,1),2)</f>
        <v>0</v>
      </c>
      <c r="O11" s="8"/>
    </row>
    <row r="12" spans="1:15" ht="30" customHeight="1" thickTop="1">
      <c r="A12" s="8"/>
      <c r="B12" s="1"/>
      <c r="C12" s="1"/>
      <c r="D12" s="1"/>
      <c r="E12" s="2"/>
      <c r="F12" s="3"/>
      <c r="G12" s="3"/>
      <c r="H12" s="7"/>
      <c r="I12" s="4"/>
      <c r="J12" s="4"/>
      <c r="K12" s="4"/>
      <c r="L12" s="14"/>
      <c r="M12" s="15"/>
      <c r="N12" s="15"/>
      <c r="O12" s="8"/>
    </row>
    <row r="14" spans="1:15" ht="15.75">
      <c r="B14" s="33" t="s">
        <v>17</v>
      </c>
      <c r="C14" s="34"/>
      <c r="D14" s="34"/>
      <c r="E14" s="34"/>
      <c r="F14" s="34"/>
      <c r="G14" s="35"/>
      <c r="I14" s="30" t="s">
        <v>18</v>
      </c>
      <c r="J14" s="30" t="s">
        <v>19</v>
      </c>
    </row>
    <row r="15" spans="1:15" ht="15.75">
      <c r="B15" s="27">
        <v>63</v>
      </c>
      <c r="C15" s="27">
        <v>430</v>
      </c>
      <c r="D15" s="27">
        <v>635</v>
      </c>
      <c r="E15" s="28">
        <v>751</v>
      </c>
      <c r="F15" s="27">
        <v>859</v>
      </c>
      <c r="G15" s="27">
        <v>950</v>
      </c>
      <c r="I15" s="29" cm="1">
        <f t="array" ref="I15">(B2 + (M3+N3/10)*K3 + 22.51 + G2) + _xlfn.SWITCH(TRUE, I2&gt;=0, 0.9*J2*(M2+N2/10), I2&lt;0, 0.9*K2*(M2+N2/10))</f>
        <v>-908.70758240378927</v>
      </c>
      <c r="J15" s="29">
        <f>B2/8</f>
        <v>800</v>
      </c>
    </row>
    <row r="16" spans="1:15" ht="15.75">
      <c r="B16" s="27">
        <v>95</v>
      </c>
      <c r="C16" s="27">
        <v>437</v>
      </c>
      <c r="D16" s="27">
        <v>636</v>
      </c>
      <c r="E16" s="28">
        <v>753</v>
      </c>
      <c r="F16" s="27">
        <v>862</v>
      </c>
      <c r="G16" s="27">
        <v>951</v>
      </c>
      <c r="I16" s="29">
        <f>B3+2.1875 + 1.5*J3*(M3+N3/10)</f>
        <v>213.77668566003823</v>
      </c>
      <c r="J16" s="29">
        <f>MIN(MAX(B3,6),196)</f>
        <v>6</v>
      </c>
    </row>
    <row r="17" spans="2:10" ht="15.75">
      <c r="B17" s="27">
        <v>111</v>
      </c>
      <c r="C17" s="27">
        <v>438</v>
      </c>
      <c r="D17" s="27">
        <v>637</v>
      </c>
      <c r="E17" s="28">
        <v>754</v>
      </c>
      <c r="F17" s="27">
        <v>863</v>
      </c>
      <c r="G17" s="27">
        <v>953</v>
      </c>
      <c r="I17" s="29" cm="1">
        <f t="array" ref="I17">B4 + _xlfn.SWITCH(TRUE, I4&gt;=0, 0.9*J4*(M4+N4/10), I4&lt;0, 0.9*K4*(M4+N4/10))</f>
        <v>-1064.809939336792</v>
      </c>
      <c r="J17" s="29">
        <f t="shared" ref="J16:J17" si="2">B4/8</f>
        <v>60</v>
      </c>
    </row>
    <row r="18" spans="2:10">
      <c r="B18" s="27">
        <v>123</v>
      </c>
      <c r="C18" s="27">
        <v>439</v>
      </c>
      <c r="D18" s="27">
        <v>639</v>
      </c>
      <c r="E18" s="28">
        <v>755</v>
      </c>
      <c r="F18" s="27">
        <v>867</v>
      </c>
      <c r="G18" s="27">
        <v>956</v>
      </c>
    </row>
    <row r="19" spans="2:10">
      <c r="B19" s="27">
        <v>125</v>
      </c>
      <c r="C19" s="27">
        <v>445</v>
      </c>
      <c r="D19" s="27">
        <v>655</v>
      </c>
      <c r="E19" s="28">
        <v>756</v>
      </c>
      <c r="F19" s="27">
        <v>869</v>
      </c>
      <c r="G19" s="27">
        <v>957</v>
      </c>
    </row>
    <row r="20" spans="2:10">
      <c r="B20" s="27">
        <v>126</v>
      </c>
      <c r="C20" s="27">
        <v>446</v>
      </c>
      <c r="D20" s="27">
        <v>671</v>
      </c>
      <c r="E20" s="28">
        <v>758</v>
      </c>
      <c r="F20" s="27">
        <v>871</v>
      </c>
      <c r="G20" s="27">
        <v>958</v>
      </c>
    </row>
    <row r="21" spans="2:10">
      <c r="B21" s="27">
        <v>175</v>
      </c>
      <c r="C21" s="27">
        <v>447</v>
      </c>
      <c r="D21" s="27">
        <v>679</v>
      </c>
      <c r="E21" s="28">
        <v>761</v>
      </c>
      <c r="F21" s="27">
        <v>873</v>
      </c>
      <c r="G21" s="27">
        <v>973</v>
      </c>
    </row>
    <row r="22" spans="2:10">
      <c r="B22" s="27">
        <v>189</v>
      </c>
      <c r="C22" s="27">
        <v>459</v>
      </c>
      <c r="D22" s="27">
        <v>683</v>
      </c>
      <c r="E22" s="28">
        <v>763</v>
      </c>
      <c r="F22" s="27">
        <v>875</v>
      </c>
      <c r="G22" s="27">
        <v>974</v>
      </c>
    </row>
    <row r="23" spans="2:10">
      <c r="B23" s="27">
        <v>190</v>
      </c>
      <c r="C23" s="27">
        <v>474</v>
      </c>
      <c r="D23" s="27">
        <v>685</v>
      </c>
      <c r="E23" s="28">
        <v>764</v>
      </c>
      <c r="F23" s="27">
        <v>876</v>
      </c>
      <c r="G23" s="27">
        <v>979</v>
      </c>
    </row>
    <row r="24" spans="2:10">
      <c r="B24" s="27">
        <v>191</v>
      </c>
      <c r="C24" s="27">
        <v>475</v>
      </c>
      <c r="D24" s="27">
        <v>686</v>
      </c>
      <c r="E24" s="28">
        <v>765</v>
      </c>
      <c r="F24" s="27">
        <v>877</v>
      </c>
      <c r="G24" s="27">
        <v>982</v>
      </c>
    </row>
    <row r="25" spans="2:10">
      <c r="B25" s="27">
        <v>223</v>
      </c>
      <c r="C25" s="27">
        <v>479</v>
      </c>
      <c r="D25" s="27">
        <v>687</v>
      </c>
      <c r="E25" s="28">
        <v>766</v>
      </c>
      <c r="F25" s="27">
        <v>879</v>
      </c>
      <c r="G25" s="27">
        <v>986</v>
      </c>
    </row>
    <row r="26" spans="2:10">
      <c r="B26" s="27">
        <v>235</v>
      </c>
      <c r="C26" s="27">
        <v>483</v>
      </c>
      <c r="D26" s="27">
        <v>691</v>
      </c>
      <c r="E26" s="28">
        <v>767</v>
      </c>
      <c r="F26" s="27">
        <v>881</v>
      </c>
      <c r="G26" s="27">
        <v>987</v>
      </c>
    </row>
    <row r="27" spans="2:10">
      <c r="B27" s="27">
        <v>238</v>
      </c>
      <c r="C27" s="27">
        <v>489</v>
      </c>
      <c r="D27" s="27">
        <v>693</v>
      </c>
      <c r="E27" s="28">
        <v>783</v>
      </c>
      <c r="F27" s="27">
        <v>882</v>
      </c>
      <c r="G27" s="27">
        <v>988</v>
      </c>
    </row>
    <row r="28" spans="2:10">
      <c r="B28" s="27">
        <v>239</v>
      </c>
      <c r="C28" s="27">
        <v>490</v>
      </c>
      <c r="D28" s="27">
        <v>694</v>
      </c>
      <c r="E28" s="28">
        <v>791</v>
      </c>
      <c r="F28" s="27">
        <v>884</v>
      </c>
      <c r="G28" s="27">
        <v>990</v>
      </c>
    </row>
    <row r="29" spans="2:10">
      <c r="B29" s="27">
        <v>243</v>
      </c>
      <c r="C29" s="27">
        <v>491</v>
      </c>
      <c r="D29" s="27">
        <v>695</v>
      </c>
      <c r="E29" s="28">
        <v>797</v>
      </c>
      <c r="F29" s="27">
        <v>885</v>
      </c>
      <c r="G29" s="27">
        <v>991</v>
      </c>
    </row>
    <row r="30" spans="2:10">
      <c r="B30" s="27">
        <v>250</v>
      </c>
      <c r="C30" s="27">
        <v>494</v>
      </c>
      <c r="D30" s="27">
        <v>697</v>
      </c>
      <c r="E30" s="28">
        <v>799</v>
      </c>
      <c r="F30" s="27">
        <v>886</v>
      </c>
      <c r="G30" s="27">
        <v>994</v>
      </c>
    </row>
    <row r="31" spans="2:10">
      <c r="B31" s="27">
        <v>251</v>
      </c>
      <c r="C31" s="27">
        <v>495</v>
      </c>
      <c r="D31" s="27">
        <v>699</v>
      </c>
      <c r="E31" s="28">
        <v>807</v>
      </c>
      <c r="F31" s="27">
        <v>887</v>
      </c>
      <c r="G31" s="27">
        <v>995</v>
      </c>
    </row>
    <row r="32" spans="2:10">
      <c r="B32" s="27">
        <v>254</v>
      </c>
      <c r="C32" s="27">
        <v>499</v>
      </c>
      <c r="D32" s="27">
        <v>701</v>
      </c>
      <c r="E32" s="28">
        <v>811</v>
      </c>
      <c r="F32" s="27">
        <v>892</v>
      </c>
      <c r="G32" s="27">
        <v>997</v>
      </c>
    </row>
    <row r="33" spans="2:7">
      <c r="B33" s="27">
        <v>287</v>
      </c>
      <c r="C33" s="27">
        <v>503</v>
      </c>
      <c r="D33" s="27">
        <v>702</v>
      </c>
      <c r="E33" s="28">
        <v>813</v>
      </c>
      <c r="F33" s="27">
        <v>893</v>
      </c>
      <c r="G33" s="27">
        <v>998</v>
      </c>
    </row>
    <row r="34" spans="2:7">
      <c r="B34" s="27">
        <v>303</v>
      </c>
      <c r="C34" s="27">
        <v>505</v>
      </c>
      <c r="D34" s="27">
        <v>703</v>
      </c>
      <c r="E34" s="28">
        <v>814</v>
      </c>
      <c r="F34" s="27">
        <v>894</v>
      </c>
      <c r="G34" s="27">
        <v>999</v>
      </c>
    </row>
    <row r="35" spans="2:7">
      <c r="B35" s="27">
        <v>311</v>
      </c>
      <c r="C35" s="27">
        <v>511</v>
      </c>
      <c r="D35" s="27">
        <v>711</v>
      </c>
      <c r="E35" s="28">
        <v>815</v>
      </c>
      <c r="F35" s="27">
        <v>895</v>
      </c>
      <c r="G35" s="27">
        <v>1001</v>
      </c>
    </row>
    <row r="36" spans="2:7">
      <c r="B36" s="27">
        <v>315</v>
      </c>
      <c r="C36" s="27">
        <v>559</v>
      </c>
      <c r="D36" s="27">
        <v>717</v>
      </c>
      <c r="E36" s="28">
        <v>821</v>
      </c>
      <c r="F36" s="27">
        <v>909</v>
      </c>
      <c r="G36" s="27">
        <v>1002</v>
      </c>
    </row>
    <row r="37" spans="2:7">
      <c r="B37" s="27">
        <v>318</v>
      </c>
      <c r="C37" s="27">
        <v>567</v>
      </c>
      <c r="D37" s="27">
        <v>718</v>
      </c>
      <c r="E37" s="28">
        <v>822</v>
      </c>
      <c r="F37" s="27">
        <v>917</v>
      </c>
      <c r="G37" s="27">
        <v>1003</v>
      </c>
    </row>
    <row r="38" spans="2:7">
      <c r="B38" s="27">
        <v>335</v>
      </c>
      <c r="C38" s="27">
        <v>573</v>
      </c>
      <c r="D38" s="27">
        <v>719</v>
      </c>
      <c r="E38" s="28">
        <v>823</v>
      </c>
      <c r="F38" s="27">
        <v>921</v>
      </c>
      <c r="G38" s="27">
        <v>1005</v>
      </c>
    </row>
    <row r="39" spans="2:7">
      <c r="B39" s="27">
        <v>351</v>
      </c>
      <c r="C39" s="27">
        <v>575</v>
      </c>
      <c r="D39" s="27">
        <v>727</v>
      </c>
      <c r="E39" s="28">
        <v>825</v>
      </c>
      <c r="F39" s="27">
        <v>923</v>
      </c>
      <c r="G39" s="27">
        <v>1006</v>
      </c>
    </row>
    <row r="40" spans="2:7">
      <c r="B40" s="27">
        <v>359</v>
      </c>
      <c r="C40" s="27">
        <v>591</v>
      </c>
      <c r="D40" s="27">
        <v>730</v>
      </c>
      <c r="E40" s="28">
        <v>827</v>
      </c>
      <c r="F40" s="27">
        <v>931</v>
      </c>
      <c r="G40" s="27">
        <v>1007</v>
      </c>
    </row>
    <row r="41" spans="2:7">
      <c r="B41" s="27">
        <v>365</v>
      </c>
      <c r="C41" s="27">
        <v>599</v>
      </c>
      <c r="D41" s="27">
        <v>733</v>
      </c>
      <c r="E41" s="28">
        <v>828</v>
      </c>
      <c r="F41" s="27">
        <v>933</v>
      </c>
      <c r="G41" s="27">
        <v>1009</v>
      </c>
    </row>
    <row r="42" spans="2:7">
      <c r="B42" s="27">
        <v>367</v>
      </c>
      <c r="C42" s="27">
        <v>605</v>
      </c>
      <c r="D42" s="27">
        <v>735</v>
      </c>
      <c r="E42" s="28">
        <v>829</v>
      </c>
      <c r="F42" s="27">
        <v>934</v>
      </c>
      <c r="G42" s="27">
        <v>1011</v>
      </c>
    </row>
    <row r="43" spans="2:7">
      <c r="B43" s="27">
        <v>373</v>
      </c>
      <c r="C43" s="27">
        <v>607</v>
      </c>
      <c r="D43" s="27">
        <v>739</v>
      </c>
      <c r="E43" s="28">
        <v>830</v>
      </c>
      <c r="F43" s="27">
        <v>935</v>
      </c>
      <c r="G43" s="27">
        <v>1013</v>
      </c>
    </row>
    <row r="44" spans="2:7">
      <c r="B44" s="27">
        <v>377</v>
      </c>
      <c r="C44" s="27">
        <v>619</v>
      </c>
      <c r="D44" s="27">
        <v>742</v>
      </c>
      <c r="E44" s="28">
        <v>831</v>
      </c>
      <c r="F44" s="27">
        <v>937</v>
      </c>
      <c r="G44" s="27">
        <v>1014</v>
      </c>
    </row>
    <row r="45" spans="2:7">
      <c r="B45" s="27">
        <v>378</v>
      </c>
      <c r="C45" s="27">
        <v>621</v>
      </c>
      <c r="D45" s="27">
        <v>743</v>
      </c>
      <c r="E45" s="28">
        <v>839</v>
      </c>
      <c r="F45" s="27">
        <v>938</v>
      </c>
      <c r="G45" s="27">
        <v>1017</v>
      </c>
    </row>
    <row r="46" spans="2:7">
      <c r="B46" s="27">
        <v>380</v>
      </c>
      <c r="C46" s="27">
        <v>622</v>
      </c>
      <c r="D46" s="27">
        <v>745</v>
      </c>
      <c r="E46" s="28">
        <v>843</v>
      </c>
      <c r="F46" s="27">
        <v>939</v>
      </c>
      <c r="G46" s="27">
        <v>1018</v>
      </c>
    </row>
    <row r="47" spans="2:7">
      <c r="B47" s="27">
        <v>382</v>
      </c>
      <c r="C47" s="27">
        <v>623</v>
      </c>
      <c r="D47" s="27">
        <v>746</v>
      </c>
      <c r="E47" s="28">
        <v>846</v>
      </c>
      <c r="F47" s="27">
        <v>940</v>
      </c>
      <c r="G47" s="27">
        <v>1019</v>
      </c>
    </row>
    <row r="48" spans="2:7">
      <c r="B48" s="27">
        <v>413</v>
      </c>
      <c r="C48" s="27">
        <v>629</v>
      </c>
      <c r="D48" s="27">
        <v>747</v>
      </c>
      <c r="E48" s="28">
        <v>847</v>
      </c>
      <c r="F48" s="27">
        <v>941</v>
      </c>
      <c r="G48" s="27">
        <v>1020</v>
      </c>
    </row>
    <row r="49" spans="2:7">
      <c r="B49" s="27">
        <v>415</v>
      </c>
      <c r="C49" s="27">
        <v>630</v>
      </c>
      <c r="D49" s="27">
        <v>748</v>
      </c>
      <c r="E49" s="28">
        <v>854</v>
      </c>
      <c r="F49" s="27">
        <v>942</v>
      </c>
      <c r="G49" s="27">
        <v>1021</v>
      </c>
    </row>
    <row r="50" spans="2:7">
      <c r="B50" s="27">
        <v>423</v>
      </c>
      <c r="C50" s="27">
        <v>631</v>
      </c>
      <c r="D50" s="27">
        <v>749</v>
      </c>
      <c r="E50" s="28">
        <v>855</v>
      </c>
      <c r="F50" s="27">
        <v>943</v>
      </c>
      <c r="G50" s="27">
        <v>1022</v>
      </c>
    </row>
    <row r="51" spans="2:7">
      <c r="B51" s="27">
        <v>429</v>
      </c>
      <c r="C51" s="27">
        <v>633</v>
      </c>
      <c r="D51" s="27">
        <v>750</v>
      </c>
      <c r="E51" s="28">
        <v>857</v>
      </c>
      <c r="F51" s="27">
        <v>949</v>
      </c>
      <c r="G51" s="27">
        <v>1023</v>
      </c>
    </row>
    <row r="56" spans="2:7">
      <c r="E56" s="26"/>
    </row>
    <row r="57" spans="2:7">
      <c r="E57" s="26"/>
    </row>
    <row r="58" spans="2:7">
      <c r="E58" s="26"/>
    </row>
    <row r="59" spans="2:7">
      <c r="E59" s="26"/>
    </row>
    <row r="60" spans="2:7">
      <c r="E60" s="26"/>
    </row>
    <row r="61" spans="2:7">
      <c r="E61" s="26"/>
    </row>
    <row r="62" spans="2:7">
      <c r="E62" s="26"/>
    </row>
    <row r="63" spans="2:7">
      <c r="E63" s="26"/>
    </row>
    <row r="64" spans="2:7">
      <c r="E64" s="26"/>
    </row>
    <row r="65" spans="5:5">
      <c r="E65" s="26"/>
    </row>
    <row r="66" spans="5:5">
      <c r="E66" s="26"/>
    </row>
    <row r="67" spans="5:5">
      <c r="E67" s="26"/>
    </row>
    <row r="68" spans="5:5">
      <c r="E68" s="26"/>
    </row>
    <row r="69" spans="5:5">
      <c r="E69" s="26"/>
    </row>
    <row r="70" spans="5:5">
      <c r="E70" s="26"/>
    </row>
    <row r="71" spans="5:5">
      <c r="E71" s="26"/>
    </row>
    <row r="72" spans="5:5">
      <c r="E72" s="26"/>
    </row>
    <row r="73" spans="5:5">
      <c r="E73" s="26"/>
    </row>
    <row r="74" spans="5:5">
      <c r="E74" s="26"/>
    </row>
    <row r="75" spans="5:5">
      <c r="E75" s="26"/>
    </row>
    <row r="76" spans="5:5">
      <c r="E76" s="26"/>
    </row>
    <row r="77" spans="5:5">
      <c r="E77" s="26"/>
    </row>
    <row r="78" spans="5:5">
      <c r="E78" s="26"/>
    </row>
    <row r="79" spans="5:5">
      <c r="E79" s="26"/>
    </row>
    <row r="80" spans="5:5">
      <c r="E80" s="26"/>
    </row>
    <row r="81" spans="5:5">
      <c r="E81" s="26"/>
    </row>
    <row r="82" spans="5:5">
      <c r="E82" s="26"/>
    </row>
    <row r="83" spans="5:5">
      <c r="E83" s="26"/>
    </row>
    <row r="84" spans="5:5">
      <c r="E84" s="26"/>
    </row>
    <row r="85" spans="5:5">
      <c r="E85" s="26"/>
    </row>
    <row r="86" spans="5:5">
      <c r="E86" s="26"/>
    </row>
    <row r="87" spans="5:5">
      <c r="E87" s="26"/>
    </row>
    <row r="88" spans="5:5">
      <c r="E88" s="26"/>
    </row>
    <row r="89" spans="5:5">
      <c r="E89" s="26"/>
    </row>
    <row r="90" spans="5:5">
      <c r="E90" s="26"/>
    </row>
    <row r="91" spans="5:5">
      <c r="E91" s="26"/>
    </row>
    <row r="92" spans="5:5">
      <c r="E92" s="26"/>
    </row>
    <row r="93" spans="5:5">
      <c r="E93" s="26"/>
    </row>
    <row r="94" spans="5:5">
      <c r="E94" s="26"/>
    </row>
    <row r="95" spans="5:5">
      <c r="E95" s="26"/>
    </row>
    <row r="96" spans="5:5">
      <c r="E96" s="26"/>
    </row>
    <row r="97" spans="5:5">
      <c r="E97" s="26"/>
    </row>
    <row r="98" spans="5:5">
      <c r="E98" s="26"/>
    </row>
    <row r="99" spans="5:5">
      <c r="E99" s="26"/>
    </row>
    <row r="100" spans="5:5">
      <c r="E100" s="26"/>
    </row>
    <row r="101" spans="5:5">
      <c r="E101" s="26"/>
    </row>
    <row r="102" spans="5:5">
      <c r="E102" s="26"/>
    </row>
    <row r="103" spans="5:5">
      <c r="E103" s="26"/>
    </row>
    <row r="104" spans="5:5">
      <c r="E104" s="26"/>
    </row>
    <row r="105" spans="5:5">
      <c r="E105" s="26"/>
    </row>
    <row r="106" spans="5:5">
      <c r="E106" s="26"/>
    </row>
    <row r="107" spans="5:5">
      <c r="E107" s="26"/>
    </row>
    <row r="108" spans="5:5">
      <c r="E108" s="26"/>
    </row>
    <row r="109" spans="5:5">
      <c r="E109" s="26"/>
    </row>
    <row r="110" spans="5:5">
      <c r="E110" s="26"/>
    </row>
    <row r="111" spans="5:5">
      <c r="E111" s="26"/>
    </row>
    <row r="112" spans="5:5">
      <c r="E112" s="26"/>
    </row>
    <row r="113" spans="5:5">
      <c r="E113" s="26"/>
    </row>
    <row r="114" spans="5:5">
      <c r="E114" s="26"/>
    </row>
    <row r="115" spans="5:5">
      <c r="E115" s="26"/>
    </row>
    <row r="116" spans="5:5">
      <c r="E116" s="26"/>
    </row>
    <row r="117" spans="5:5">
      <c r="E117" s="26"/>
    </row>
    <row r="118" spans="5:5">
      <c r="E118" s="26"/>
    </row>
    <row r="119" spans="5:5">
      <c r="E119" s="26"/>
    </row>
    <row r="120" spans="5:5">
      <c r="E120" s="26"/>
    </row>
    <row r="121" spans="5:5">
      <c r="E121" s="26"/>
    </row>
    <row r="122" spans="5:5">
      <c r="E122" s="26"/>
    </row>
    <row r="123" spans="5:5">
      <c r="E123" s="26"/>
    </row>
    <row r="124" spans="5:5">
      <c r="E124" s="26"/>
    </row>
    <row r="125" spans="5:5">
      <c r="E125" s="26"/>
    </row>
    <row r="126" spans="5:5">
      <c r="E126" s="26"/>
    </row>
    <row r="127" spans="5:5">
      <c r="E127" s="26"/>
    </row>
    <row r="128" spans="5:5">
      <c r="E128" s="26"/>
    </row>
    <row r="129" spans="5:5">
      <c r="E129" s="26"/>
    </row>
    <row r="130" spans="5:5">
      <c r="E130" s="26"/>
    </row>
    <row r="131" spans="5:5">
      <c r="E131" s="26"/>
    </row>
    <row r="132" spans="5:5">
      <c r="E132" s="26"/>
    </row>
    <row r="133" spans="5:5">
      <c r="E133" s="26"/>
    </row>
    <row r="134" spans="5:5">
      <c r="E134" s="26"/>
    </row>
    <row r="135" spans="5:5">
      <c r="E135" s="26"/>
    </row>
    <row r="136" spans="5:5">
      <c r="E136" s="26"/>
    </row>
    <row r="137" spans="5:5">
      <c r="E137" s="26"/>
    </row>
    <row r="138" spans="5:5">
      <c r="E138" s="26"/>
    </row>
    <row r="139" spans="5:5">
      <c r="E139" s="26"/>
    </row>
    <row r="140" spans="5:5">
      <c r="E140" s="26"/>
    </row>
    <row r="141" spans="5:5">
      <c r="E141" s="26"/>
    </row>
    <row r="142" spans="5:5">
      <c r="E142" s="26"/>
    </row>
    <row r="143" spans="5:5">
      <c r="E143" s="26"/>
    </row>
    <row r="144" spans="5:5">
      <c r="E144" s="26"/>
    </row>
    <row r="145" spans="5:5">
      <c r="E145" s="26"/>
    </row>
    <row r="146" spans="5:5">
      <c r="E146" s="26"/>
    </row>
    <row r="147" spans="5:5">
      <c r="E147" s="26"/>
    </row>
    <row r="148" spans="5:5">
      <c r="E148" s="26"/>
    </row>
    <row r="149" spans="5:5">
      <c r="E149" s="26"/>
    </row>
  </sheetData>
  <mergeCells count="8">
    <mergeCell ref="B14:G14"/>
    <mergeCell ref="B5:D5"/>
    <mergeCell ref="I5:N5"/>
    <mergeCell ref="D2:D4"/>
    <mergeCell ref="F2:F4"/>
    <mergeCell ref="E2:E4"/>
    <mergeCell ref="G2:G4"/>
    <mergeCell ref="H2:H4"/>
  </mergeCells>
  <conditionalFormatting sqref="B2:B4">
    <cfRule type="expression" dxfId="7" priority="7">
      <formula>MOD(B2,16)&gt;0</formula>
    </cfRule>
  </conditionalFormatting>
  <conditionalFormatting sqref="B7:E11 G7:L10 F11:L11">
    <cfRule type="colorScale" priority="19">
      <colorScale>
        <cfvo type="num" val="0"/>
        <cfvo type="num" val="1"/>
        <color theme="9" tint="-0.499984740745262"/>
        <color theme="7" tint="0.79998168889431442"/>
      </colorScale>
    </cfRule>
  </conditionalFormatting>
  <conditionalFormatting sqref="C2">
    <cfRule type="expression" dxfId="6" priority="6">
      <formula>OR(L2&gt;=32767.999, OR(SQRT(($C$2-$B$2)^2+($C$4-$B$4)^2)&lt;64, AND(L2&lt;1,L4&lt;1)))</formula>
    </cfRule>
  </conditionalFormatting>
  <conditionalFormatting sqref="C3">
    <cfRule type="expression" dxfId="5" priority="5">
      <formula>OR(L3&gt;=31.999, I3&lt;50)</formula>
    </cfRule>
  </conditionalFormatting>
  <conditionalFormatting sqref="C4">
    <cfRule type="expression" dxfId="4" priority="4">
      <formula>OR($L$4&gt;=32767.999, SQRT(($C$2-$B$2)^2+($C$4-$B$4)^2)&lt;64, AND(L2&lt;1,L4&lt;1))</formula>
    </cfRule>
  </conditionalFormatting>
  <conditionalFormatting sqref="D2:D4">
    <cfRule type="expression" dxfId="3" priority="3">
      <formula>OR($D$2&lt;1, $D$2&gt;16)</formula>
    </cfRule>
  </conditionalFormatting>
  <conditionalFormatting sqref="E2:E4">
    <cfRule type="expression" dxfId="2" priority="2">
      <formula>OR($E$2&lt;1,$E$2&gt;276)</formula>
    </cfRule>
  </conditionalFormatting>
  <conditionalFormatting sqref="F7:F10">
    <cfRule type="colorScale" priority="17">
      <colorScale>
        <cfvo type="num" val="0"/>
        <cfvo type="num" val="1"/>
        <color theme="9" tint="-0.499984740745262"/>
        <color theme="7" tint="0.79998168889431442"/>
      </colorScale>
    </cfRule>
  </conditionalFormatting>
  <conditionalFormatting sqref="H2:H4">
    <cfRule type="expression" dxfId="1" priority="20">
      <formula>COUNTIF($B$15:$G$51,$H$2)&lt;1</formula>
    </cfRule>
  </conditionalFormatting>
  <conditionalFormatting sqref="I5">
    <cfRule type="expression" dxfId="0" priority="10">
      <formula>$H$5</formula>
    </cfRule>
  </conditionalFormatting>
  <conditionalFormatting sqref="M7:M11">
    <cfRule type="colorScale" priority="16">
      <colorScale>
        <cfvo type="num" val="0"/>
        <cfvo type="num" val="1"/>
        <color theme="9" tint="-0.499984740745262"/>
        <color theme="7" tint="0.79998168889431442"/>
      </colorScale>
    </cfRule>
  </conditionalFormatting>
  <conditionalFormatting sqref="N7">
    <cfRule type="colorScale" priority="15">
      <colorScale>
        <cfvo type="num" val="0"/>
        <cfvo type="num" val="1"/>
        <color theme="9" tint="-0.499984740745262"/>
        <color theme="7" tint="0.79998168889431442"/>
      </colorScale>
    </cfRule>
  </conditionalFormatting>
  <conditionalFormatting sqref="N8">
    <cfRule type="colorScale" priority="14">
      <colorScale>
        <cfvo type="num" val="0"/>
        <cfvo type="num" val="1"/>
        <color theme="9" tint="-0.499984740745262"/>
        <color theme="7" tint="0.79998168889431442"/>
      </colorScale>
    </cfRule>
  </conditionalFormatting>
  <conditionalFormatting sqref="N9">
    <cfRule type="colorScale" priority="13">
      <colorScale>
        <cfvo type="num" val="0"/>
        <cfvo type="num" val="1"/>
        <color theme="9" tint="-0.499984740745262"/>
        <color theme="7" tint="0.79998168889431442"/>
      </colorScale>
    </cfRule>
  </conditionalFormatting>
  <conditionalFormatting sqref="N10">
    <cfRule type="colorScale" priority="12">
      <colorScale>
        <cfvo type="num" val="0"/>
        <cfvo type="num" val="1"/>
        <color theme="9" tint="-0.499984740745262"/>
        <color theme="7" tint="0.79998168889431442"/>
      </colorScale>
    </cfRule>
  </conditionalFormatting>
  <conditionalFormatting sqref="N11">
    <cfRule type="colorScale" priority="11">
      <colorScale>
        <cfvo type="num" val="0"/>
        <cfvo type="num" val="1"/>
        <color theme="9" tint="-0.499984740745262"/>
        <color theme="7" tint="0.79998168889431442"/>
      </colorScale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sean</dc:creator>
  <cp:keywords/>
  <dc:description/>
  <cp:lastModifiedBy/>
  <cp:revision/>
  <dcterms:created xsi:type="dcterms:W3CDTF">2015-06-05T18:17:20Z</dcterms:created>
  <dcterms:modified xsi:type="dcterms:W3CDTF">2026-01-13T20:49:30Z</dcterms:modified>
  <cp:category/>
  <cp:contentStatus/>
</cp:coreProperties>
</file>